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ants with Variable EV" sheetId="1" r:id="rId4"/>
    <sheet state="hidden" name="__OpenSolverCache__" sheetId="2" r:id="rId5"/>
    <sheet state="hidden" name="__OpenSolver__" sheetId="3" r:id="rId6"/>
    <sheet state="visible" name="Grants with Equal Chance" sheetId="4" r:id="rId7"/>
    <sheet state="visible" name="Grants Target Amount - No Hours" sheetId="5" r:id="rId8"/>
  </sheets>
  <definedNames>
    <definedName localSheetId="4" name="solver_adj">'Grants Target Amount - No Hours'!$F$7:$F$12</definedName>
    <definedName localSheetId="3" name="solver_adj">'Grants with Equal Chance'!$F$8:$F$13</definedName>
    <definedName localSheetId="3" name="solver_lhs3">'Grants with Equal Chance'!$H$8:$H$13</definedName>
    <definedName localSheetId="3" name="solver_rhs3">'Grants with Equal Chance'!$L$5</definedName>
    <definedName localSheetId="0" name="solver_opt">'Grants with Variable EV'!$L$14</definedName>
    <definedName localSheetId="4" name="solver_rhs3">'Grants Target Amount - No Hours'!$K$4</definedName>
    <definedName localSheetId="4" name="solver_lhs3">'Grants Target Amount - No Hours'!$H$7:$H$12</definedName>
    <definedName localSheetId="0" name="solver_lhs4">'Grants with Variable EV'!$L$14</definedName>
    <definedName localSheetId="4" name="solver_opt">'Grants Target Amount - No Hours'!$M$13</definedName>
    <definedName localSheetId="3" name="solver_rhs4">'Grants with Equal Chance'!$K$5</definedName>
    <definedName localSheetId="3" name="solver_lhs2">'Grants with Equal Chance'!$H$14</definedName>
    <definedName localSheetId="0" name="solver_lhs0">'Grants with Variable EV'!$E$8:$E$13</definedName>
    <definedName localSheetId="4" name="solver_rhs4">'Grants Target Amount - No Hours'!$J$4</definedName>
    <definedName localSheetId="0" name="solver_adj">'Grants with Variable EV'!$E$8:$E$13</definedName>
    <definedName localSheetId="3" name="solver_rhs2">'Grants with Equal Chance'!$N$5</definedName>
    <definedName localSheetId="3" name="solver_lhs4">'Grants with Equal Chance'!$M$14</definedName>
    <definedName localSheetId="4" name="solver_lhs2">'Grants Target Amount - No Hours'!$H$13</definedName>
    <definedName localSheetId="0" name="solver_lhs2">'Grants with Variable EV'!$G$14</definedName>
    <definedName localSheetId="4" name="solver_lhs1">'Grants Target Amount - No Hours'!$F$7:$F$12</definedName>
    <definedName localSheetId="0" name="solver_lhs1">'Grants with Variable EV'!$E$8:$E$13</definedName>
    <definedName localSheetId="0" name="solver_rhs3">'Grants with Variable EV'!$K$5</definedName>
    <definedName localSheetId="4" name="solver_lhs4">'Grants Target Amount - No Hours'!$M$13</definedName>
    <definedName localSheetId="4" name="solver_rhs2">'Grants Target Amount - No Hours'!$M$4</definedName>
    <definedName localSheetId="0" name="solver_rhs4">'Grants with Variable EV'!$J$5</definedName>
    <definedName localSheetId="0" name="solver_lhs3">'Grants with Variable EV'!$G$8:$G$13</definedName>
    <definedName localSheetId="3" name="solver_lhs1">'Grants with Equal Chance'!$F$8:$F$13</definedName>
    <definedName localSheetId="0" name="solver_rhs2">'Grants with Variable EV'!$M$5</definedName>
    <definedName localSheetId="3" name="solver_opt">'Grants with Equal Chance'!$M$14</definedName>
  </definedNames>
  <calcPr/>
</workbook>
</file>

<file path=xl/sharedStrings.xml><?xml version="1.0" encoding="utf-8"?>
<sst xmlns="http://schemas.openxmlformats.org/spreadsheetml/2006/main" count="104" uniqueCount="39">
  <si>
    <t xml:space="preserve">Impact Space Grant  Application Optimization Model </t>
  </si>
  <si>
    <t>Constraints</t>
  </si>
  <si>
    <t>Min Application</t>
  </si>
  <si>
    <t>Average cost per hour</t>
  </si>
  <si>
    <t>Total Needed</t>
  </si>
  <si>
    <t>Max Hours/Person</t>
  </si>
  <si>
    <t>Team</t>
  </si>
  <si>
    <t>Max hours</t>
  </si>
  <si>
    <t>Apply Threshold</t>
  </si>
  <si>
    <t>Data Configuration</t>
  </si>
  <si>
    <t>Amount</t>
  </si>
  <si>
    <t>Target Amount</t>
  </si>
  <si>
    <t>Chance of Success</t>
  </si>
  <si>
    <t>Applications</t>
  </si>
  <si>
    <t>Hours</t>
  </si>
  <si>
    <t>Hours Used</t>
  </si>
  <si>
    <t>Expected Value</t>
  </si>
  <si>
    <t>Effort cost</t>
  </si>
  <si>
    <t>Processing Cost</t>
  </si>
  <si>
    <t>Total Cost</t>
  </si>
  <si>
    <t xml:space="preserve">Expected Amount </t>
  </si>
  <si>
    <t>Threshold required to apply</t>
  </si>
  <si>
    <t>Success/Fail</t>
  </si>
  <si>
    <t>100% Successful Amount</t>
  </si>
  <si>
    <t>5-25K</t>
  </si>
  <si>
    <t>25K</t>
  </si>
  <si>
    <t>50K</t>
  </si>
  <si>
    <t>100K</t>
  </si>
  <si>
    <t>250K</t>
  </si>
  <si>
    <t>Federal Grants</t>
  </si>
  <si>
    <t>Totals</t>
  </si>
  <si>
    <t>Optimized for Success</t>
  </si>
  <si>
    <t xml:space="preserve">Number of Applications </t>
  </si>
  <si>
    <t>Number of Hours</t>
  </si>
  <si>
    <t>Amount Expected</t>
  </si>
  <si>
    <t xml:space="preserve">Note -100% amount not possible amount if every application sent is approved. </t>
  </si>
  <si>
    <t xml:space="preserve">A minimum of 1 application is required for each amount category </t>
  </si>
  <si>
    <t>Maximum number of hours is 480</t>
  </si>
  <si>
    <t>Hours to complete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</si>
</sst>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$&quot;#,##0.00"/>
    <numFmt numFmtId="165" formatCode="0.0%"/>
    <numFmt numFmtId="166" formatCode="&quot;$&quot;#,##0_);[Red]\(&quot;$&quot;#,##0\)"/>
    <numFmt numFmtId="167" formatCode="_(&quot;$&quot;* #,##0_);_(&quot;$&quot;* \(#,##0\);_(&quot;$&quot;* &quot;-&quot;??_);_(@_)"/>
    <numFmt numFmtId="168" formatCode="&quot;$&quot;#,##0.00_);[Red]\(&quot;$&quot;#,##0.00\)"/>
    <numFmt numFmtId="169" formatCode="0.0"/>
  </numFmts>
  <fonts count="21">
    <font>
      <sz val="11.0"/>
      <color theme="1"/>
      <name val="Calibri"/>
      <scheme val="minor"/>
    </font>
    <font>
      <b/>
      <sz val="20.0"/>
      <color theme="1"/>
      <name val="Calibri"/>
    </font>
    <font>
      <b/>
      <sz val="14.0"/>
      <color theme="1"/>
      <name val="Calibri"/>
      <scheme val="minor"/>
    </font>
    <font>
      <b/>
      <sz val="11.0"/>
      <color theme="1"/>
      <name val="Calibri"/>
    </font>
    <font>
      <b/>
      <sz val="10.0"/>
      <color rgb="FFFFFFFF"/>
      <name val="Arial"/>
    </font>
    <font>
      <sz val="11.0"/>
      <color theme="1"/>
      <name val="Calibri"/>
    </font>
    <font>
      <sz val="10.0"/>
      <color theme="1"/>
      <name val="Arial"/>
    </font>
    <font>
      <b/>
      <sz val="9.0"/>
      <color rgb="FFFFFFFF"/>
      <name val="Arial"/>
    </font>
    <font>
      <b/>
      <sz val="10.0"/>
      <color theme="1"/>
      <name val="Arial"/>
    </font>
    <font>
      <sz val="10.0"/>
      <color rgb="FF274E13"/>
      <name val="Arial"/>
    </font>
    <font>
      <b/>
      <sz val="12.0"/>
      <color theme="1"/>
      <name val="Arial"/>
    </font>
    <font>
      <b/>
      <sz val="12.0"/>
      <color rgb="FFFFFFFF"/>
      <name val="Arial"/>
    </font>
    <font>
      <b/>
      <sz val="14.0"/>
      <color theme="1"/>
      <name val="Calibri"/>
    </font>
    <font/>
    <font>
      <b/>
      <sz val="11.0"/>
      <color theme="0"/>
      <name val="Calibri"/>
    </font>
    <font>
      <b/>
      <sz val="16.0"/>
      <color theme="1"/>
      <name val="Calibri"/>
    </font>
    <font>
      <b/>
      <sz val="11.0"/>
      <color rgb="FFFFFFFF"/>
      <name val="Calibri"/>
    </font>
    <font>
      <b/>
      <color rgb="FFCC0000"/>
      <name val="Calibri"/>
      <scheme val="minor"/>
    </font>
    <font>
      <color rgb="FFCC0000"/>
      <name val="Calibri"/>
      <scheme val="minor"/>
    </font>
    <font>
      <b/>
      <color theme="1"/>
      <name val="Calibri"/>
      <scheme val="minor"/>
    </font>
    <font>
      <color theme="1"/>
      <name val="Calibri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351C75"/>
        <bgColor rgb="FF351C75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4F6128"/>
        <bgColor rgb="FF4F6128"/>
      </patternFill>
    </fill>
    <fill>
      <patternFill patternType="solid">
        <fgColor rgb="FFC2D69B"/>
        <bgColor rgb="FFC2D69B"/>
      </patternFill>
    </fill>
    <fill>
      <patternFill patternType="solid">
        <fgColor rgb="FF674EA7"/>
        <bgColor rgb="FF674EA7"/>
      </patternFill>
    </fill>
    <fill>
      <patternFill patternType="solid">
        <fgColor rgb="FF5F497A"/>
        <bgColor rgb="FF5F497A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/>
      <right/>
      <top/>
      <bottom/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readingOrder="0" vertical="center"/>
    </xf>
    <xf borderId="1" fillId="2" fontId="3" numFmtId="0" xfId="0" applyAlignment="1" applyBorder="1" applyFill="1" applyFont="1">
      <alignment horizontal="center" readingOrder="0" shrinkToFit="0" wrapText="1"/>
    </xf>
    <xf borderId="1" fillId="2" fontId="3" numFmtId="0" xfId="0" applyAlignment="1" applyBorder="1" applyFont="1">
      <alignment horizontal="center" shrinkToFit="0" wrapText="1"/>
    </xf>
    <xf borderId="1" fillId="3" fontId="4" numFmtId="0" xfId="0" applyAlignment="1" applyBorder="1" applyFill="1" applyFont="1">
      <alignment horizontal="center" readingOrder="0" shrinkToFit="0" wrapText="1"/>
    </xf>
    <xf borderId="1" fillId="4" fontId="5" numFmtId="0" xfId="0" applyBorder="1" applyFill="1" applyFont="1"/>
    <xf borderId="1" fillId="4" fontId="5" numFmtId="0" xfId="0" applyAlignment="1" applyBorder="1" applyFont="1">
      <alignment readingOrder="0"/>
    </xf>
    <xf borderId="1" fillId="4" fontId="5" numFmtId="164" xfId="0" applyAlignment="1" applyBorder="1" applyFont="1" applyNumberFormat="1">
      <alignment readingOrder="0"/>
    </xf>
    <xf borderId="1" fillId="4" fontId="5" numFmtId="3" xfId="0" applyAlignment="1" applyBorder="1" applyFont="1" applyNumberFormat="1">
      <alignment readingOrder="0"/>
    </xf>
    <xf borderId="1" fillId="5" fontId="6" numFmtId="165" xfId="0" applyAlignment="1" applyBorder="1" applyFill="1" applyFont="1" applyNumberFormat="1">
      <alignment horizontal="right" readingOrder="0" shrinkToFit="0" wrapText="1"/>
    </xf>
    <xf borderId="2" fillId="6" fontId="4" numFmtId="0" xfId="0" applyAlignment="1" applyBorder="1" applyFill="1" applyFont="1">
      <alignment shrinkToFit="0" wrapText="1"/>
    </xf>
    <xf borderId="2" fillId="6" fontId="4" numFmtId="0" xfId="0" applyAlignment="1" applyBorder="1" applyFont="1">
      <alignment horizontal="center" shrinkToFit="0" wrapText="1"/>
    </xf>
    <xf borderId="2" fillId="6" fontId="4" numFmtId="0" xfId="0" applyAlignment="1" applyBorder="1" applyFont="1">
      <alignment horizontal="center" readingOrder="0" shrinkToFit="0" wrapText="1"/>
    </xf>
    <xf borderId="2" fillId="3" fontId="7" numFmtId="0" xfId="0" applyAlignment="1" applyBorder="1" applyFont="1">
      <alignment horizontal="center" readingOrder="0" shrinkToFit="0" wrapText="1"/>
    </xf>
    <xf borderId="2" fillId="3" fontId="4" numFmtId="0" xfId="0" applyAlignment="1" applyBorder="1" applyFont="1">
      <alignment horizontal="center" readingOrder="0" shrinkToFit="0" wrapText="1"/>
    </xf>
    <xf borderId="2" fillId="0" fontId="6" numFmtId="0" xfId="0" applyAlignment="1" applyBorder="1" applyFont="1">
      <alignment shrinkToFit="0" wrapText="1"/>
    </xf>
    <xf borderId="2" fillId="0" fontId="6" numFmtId="164" xfId="0" applyAlignment="1" applyBorder="1" applyFont="1" applyNumberFormat="1">
      <alignment horizontal="right" shrinkToFit="0" wrapText="1"/>
    </xf>
    <xf borderId="2" fillId="0" fontId="6" numFmtId="165" xfId="0" applyAlignment="1" applyBorder="1" applyFont="1" applyNumberFormat="1">
      <alignment horizontal="right" readingOrder="0" shrinkToFit="0" wrapText="1"/>
    </xf>
    <xf borderId="2" fillId="0" fontId="6" numFmtId="1" xfId="0" applyAlignment="1" applyBorder="1" applyFont="1" applyNumberFormat="1">
      <alignment horizontal="right" readingOrder="0" shrinkToFit="0" wrapText="1"/>
    </xf>
    <xf borderId="2" fillId="0" fontId="6" numFmtId="0" xfId="0" applyAlignment="1" applyBorder="1" applyFont="1">
      <alignment horizontal="right" shrinkToFit="0" wrapText="1"/>
    </xf>
    <xf borderId="2" fillId="0" fontId="6" numFmtId="1" xfId="0" applyAlignment="1" applyBorder="1" applyFont="1" applyNumberFormat="1">
      <alignment horizontal="right" shrinkToFit="0" wrapText="1"/>
    </xf>
    <xf borderId="2" fillId="0" fontId="6" numFmtId="166" xfId="0" applyAlignment="1" applyBorder="1" applyFont="1" applyNumberFormat="1">
      <alignment horizontal="right" shrinkToFit="0" wrapText="1"/>
    </xf>
    <xf borderId="2" fillId="0" fontId="6" numFmtId="167" xfId="0" applyAlignment="1" applyBorder="1" applyFont="1" applyNumberFormat="1">
      <alignment horizontal="right" shrinkToFit="0" wrapText="1"/>
    </xf>
    <xf borderId="2" fillId="0" fontId="6" numFmtId="9" xfId="0" applyAlignment="1" applyBorder="1" applyFont="1" applyNumberFormat="1">
      <alignment horizontal="right" readingOrder="0" shrinkToFit="0" wrapText="1"/>
    </xf>
    <xf borderId="2" fillId="0" fontId="8" numFmtId="166" xfId="0" applyAlignment="1" applyBorder="1" applyFont="1" applyNumberFormat="1">
      <alignment horizontal="right" shrinkToFit="0" wrapText="1"/>
    </xf>
    <xf borderId="2" fillId="5" fontId="6" numFmtId="166" xfId="0" applyAlignment="1" applyBorder="1" applyFont="1" applyNumberFormat="1">
      <alignment horizontal="right" shrinkToFit="0" wrapText="1"/>
    </xf>
    <xf borderId="3" fillId="0" fontId="6" numFmtId="0" xfId="0" applyAlignment="1" applyBorder="1" applyFont="1">
      <alignment shrinkToFit="0" wrapText="1"/>
    </xf>
    <xf borderId="3" fillId="0" fontId="9" numFmtId="164" xfId="0" applyAlignment="1" applyBorder="1" applyFont="1" applyNumberFormat="1">
      <alignment horizontal="right" shrinkToFit="0" wrapText="1"/>
    </xf>
    <xf borderId="3" fillId="0" fontId="9" numFmtId="165" xfId="0" applyAlignment="1" applyBorder="1" applyFont="1" applyNumberFormat="1">
      <alignment horizontal="right" readingOrder="0" shrinkToFit="0" wrapText="1"/>
    </xf>
    <xf borderId="3" fillId="0" fontId="6" numFmtId="0" xfId="0" applyAlignment="1" applyBorder="1" applyFont="1">
      <alignment horizontal="right" shrinkToFit="0" wrapText="1"/>
    </xf>
    <xf borderId="3" fillId="0" fontId="6" numFmtId="1" xfId="0" applyAlignment="1" applyBorder="1" applyFont="1" applyNumberFormat="1">
      <alignment horizontal="right" shrinkToFit="0" wrapText="1"/>
    </xf>
    <xf borderId="3" fillId="0" fontId="6" numFmtId="166" xfId="0" applyAlignment="1" applyBorder="1" applyFont="1" applyNumberFormat="1">
      <alignment horizontal="right" shrinkToFit="0" wrapText="1"/>
    </xf>
    <xf borderId="3" fillId="0" fontId="6" numFmtId="167" xfId="0" applyAlignment="1" applyBorder="1" applyFont="1" applyNumberFormat="1">
      <alignment horizontal="right" shrinkToFit="0" wrapText="1"/>
    </xf>
    <xf borderId="3" fillId="0" fontId="6" numFmtId="9" xfId="0" applyAlignment="1" applyBorder="1" applyFont="1" applyNumberFormat="1">
      <alignment horizontal="right" readingOrder="0" shrinkToFit="0" wrapText="1"/>
    </xf>
    <xf borderId="0" fillId="0" fontId="9" numFmtId="0" xfId="0" applyAlignment="1" applyFont="1">
      <alignment shrinkToFit="0" wrapText="1"/>
    </xf>
    <xf borderId="0" fillId="0" fontId="9" numFmtId="164" xfId="0" applyAlignment="1" applyFont="1" applyNumberFormat="1">
      <alignment horizontal="right" shrinkToFit="0" wrapText="1"/>
    </xf>
    <xf borderId="0" fillId="0" fontId="9" numFmtId="165" xfId="0" applyAlignment="1" applyFont="1" applyNumberFormat="1">
      <alignment horizontal="right" readingOrder="0" shrinkToFit="0" wrapText="1"/>
    </xf>
    <xf borderId="0" fillId="0" fontId="6" numFmtId="0" xfId="0" applyAlignment="1" applyFont="1">
      <alignment horizontal="right" shrinkToFit="0" wrapText="1"/>
    </xf>
    <xf borderId="0" fillId="0" fontId="6" numFmtId="1" xfId="0" applyAlignment="1" applyFont="1" applyNumberFormat="1">
      <alignment horizontal="right" shrinkToFit="0" wrapText="1"/>
    </xf>
    <xf borderId="0" fillId="0" fontId="6" numFmtId="166" xfId="0" applyAlignment="1" applyFont="1" applyNumberFormat="1">
      <alignment horizontal="right" shrinkToFit="0" wrapText="1"/>
    </xf>
    <xf borderId="0" fillId="0" fontId="6" numFmtId="167" xfId="0" applyAlignment="1" applyFont="1" applyNumberFormat="1">
      <alignment horizontal="right" shrinkToFit="0" wrapText="1"/>
    </xf>
    <xf borderId="0" fillId="0" fontId="6" numFmtId="9" xfId="0" applyAlignment="1" applyFont="1" applyNumberFormat="1">
      <alignment horizontal="right" shrinkToFit="0" wrapText="1"/>
    </xf>
    <xf borderId="4" fillId="7" fontId="10" numFmtId="0" xfId="0" applyAlignment="1" applyBorder="1" applyFill="1" applyFont="1">
      <alignment shrinkToFit="0" wrapText="1"/>
    </xf>
    <xf borderId="4" fillId="7" fontId="10" numFmtId="0" xfId="0" applyAlignment="1" applyBorder="1" applyFont="1">
      <alignment horizontal="right" shrinkToFit="0" wrapText="1"/>
    </xf>
    <xf borderId="4" fillId="7" fontId="10" numFmtId="1" xfId="0" applyAlignment="1" applyBorder="1" applyFont="1" applyNumberFormat="1">
      <alignment horizontal="right" shrinkToFit="0" wrapText="1"/>
    </xf>
    <xf borderId="4" fillId="7" fontId="10" numFmtId="166" xfId="0" applyAlignment="1" applyBorder="1" applyFont="1" applyNumberFormat="1">
      <alignment horizontal="right" shrinkToFit="0" wrapText="1"/>
    </xf>
    <xf borderId="4" fillId="7" fontId="10" numFmtId="167" xfId="0" applyAlignment="1" applyBorder="1" applyFont="1" applyNumberFormat="1">
      <alignment horizontal="right" shrinkToFit="0" wrapText="1"/>
    </xf>
    <xf borderId="4" fillId="8" fontId="11" numFmtId="166" xfId="0" applyAlignment="1" applyBorder="1" applyFill="1" applyFont="1" applyNumberFormat="1">
      <alignment horizontal="right" shrinkToFit="0" wrapText="1"/>
    </xf>
    <xf borderId="5" fillId="0" fontId="12" numFmtId="0" xfId="0" applyAlignment="1" applyBorder="1" applyFont="1">
      <alignment horizontal="left"/>
    </xf>
    <xf borderId="5" fillId="0" fontId="13" numFmtId="0" xfId="0" applyBorder="1" applyFont="1"/>
    <xf borderId="6" fillId="9" fontId="14" numFmtId="0" xfId="0" applyBorder="1" applyFill="1" applyFont="1"/>
    <xf borderId="7" fillId="0" fontId="13" numFmtId="0" xfId="0" applyBorder="1" applyFont="1"/>
    <xf borderId="6" fillId="0" fontId="15" numFmtId="1" xfId="0" applyAlignment="1" applyBorder="1" applyFont="1" applyNumberFormat="1">
      <alignment horizontal="right"/>
    </xf>
    <xf borderId="6" fillId="9" fontId="16" numFmtId="0" xfId="0" applyAlignment="1" applyBorder="1" applyFont="1">
      <alignment readingOrder="0"/>
    </xf>
    <xf borderId="6" fillId="0" fontId="15" numFmtId="168" xfId="0" applyBorder="1" applyFont="1" applyNumberFormat="1"/>
    <xf borderId="0" fillId="0" fontId="17" numFmtId="0" xfId="0" applyAlignment="1" applyFont="1">
      <alignment readingOrder="0"/>
    </xf>
    <xf borderId="0" fillId="0" fontId="18" numFmtId="0" xfId="0" applyFont="1"/>
    <xf borderId="0" fillId="0" fontId="19" numFmtId="0" xfId="0" applyAlignment="1" applyFont="1">
      <alignment readingOrder="0"/>
    </xf>
    <xf borderId="0" fillId="0" fontId="20" numFmtId="0" xfId="0" applyFont="1"/>
    <xf borderId="0" fillId="0" fontId="20" numFmtId="0" xfId="0" applyFont="1"/>
    <xf borderId="1" fillId="4" fontId="5" numFmtId="3" xfId="0" applyBorder="1" applyFont="1" applyNumberFormat="1"/>
    <xf borderId="4" fillId="7" fontId="10" numFmtId="169" xfId="0" applyAlignment="1" applyBorder="1" applyFont="1" applyNumberFormat="1">
      <alignment horizontal="righ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9.43"/>
    <col customWidth="1" min="3" max="3" width="15.57"/>
    <col customWidth="1" min="4" max="4" width="11.57"/>
    <col customWidth="1" min="5" max="5" width="14.57"/>
    <col customWidth="1" min="6" max="6" width="14.0"/>
    <col customWidth="1" min="7" max="7" width="12.29"/>
    <col customWidth="1" min="8" max="8" width="12.14"/>
    <col customWidth="1" min="9" max="10" width="13.57"/>
    <col customWidth="1" min="11" max="11" width="14.0"/>
    <col customWidth="1" min="12" max="12" width="12.57"/>
    <col customWidth="1" min="13" max="13" width="15.71"/>
    <col customWidth="1" min="14" max="15" width="14.14"/>
    <col customWidth="1" min="16" max="27" width="8.71"/>
  </cols>
  <sheetData>
    <row r="1" ht="14.25" customHeight="1"/>
    <row r="2" ht="14.25" customHeight="1">
      <c r="B2" s="1" t="s">
        <v>0</v>
      </c>
    </row>
    <row r="3" ht="31.5" customHeight="1">
      <c r="H3" s="2" t="s">
        <v>1</v>
      </c>
    </row>
    <row r="4" ht="14.25" customHeight="1">
      <c r="H4" s="3" t="s">
        <v>2</v>
      </c>
      <c r="I4" s="3" t="s">
        <v>3</v>
      </c>
      <c r="J4" s="3" t="s">
        <v>4</v>
      </c>
      <c r="K4" s="4" t="s">
        <v>5</v>
      </c>
      <c r="L4" s="4" t="s">
        <v>6</v>
      </c>
      <c r="M4" s="4" t="s">
        <v>7</v>
      </c>
      <c r="N4" s="5" t="s">
        <v>8</v>
      </c>
    </row>
    <row r="5" ht="29.25" customHeight="1">
      <c r="H5" s="6">
        <v>1.0</v>
      </c>
      <c r="I5" s="7">
        <v>50.0</v>
      </c>
      <c r="J5" s="8">
        <v>500000.0</v>
      </c>
      <c r="K5" s="9">
        <v>160.0</v>
      </c>
      <c r="L5" s="9">
        <v>3.0</v>
      </c>
      <c r="M5" s="6">
        <f>K5*L5</f>
        <v>480</v>
      </c>
      <c r="N5" s="10">
        <v>0.001</v>
      </c>
    </row>
    <row r="6" ht="34.5" customHeight="1">
      <c r="B6" s="2" t="s">
        <v>9</v>
      </c>
    </row>
    <row r="7" ht="34.5" customHeight="1">
      <c r="B7" s="11" t="s">
        <v>10</v>
      </c>
      <c r="C7" s="12" t="s">
        <v>11</v>
      </c>
      <c r="D7" s="13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19</v>
      </c>
      <c r="L7" s="13" t="s">
        <v>20</v>
      </c>
      <c r="M7" s="14" t="s">
        <v>21</v>
      </c>
      <c r="N7" s="15" t="s">
        <v>22</v>
      </c>
      <c r="O7" s="15" t="s">
        <v>23</v>
      </c>
    </row>
    <row r="8" ht="14.25" customHeight="1">
      <c r="B8" s="16" t="s">
        <v>24</v>
      </c>
      <c r="C8" s="17">
        <v>10000.0</v>
      </c>
      <c r="D8" s="18">
        <v>0.05</v>
      </c>
      <c r="E8" s="19">
        <v>1.0</v>
      </c>
      <c r="F8" s="20">
        <v>10.0</v>
      </c>
      <c r="G8" s="21">
        <f t="shared" ref="G8:G13" si="1">F8*E8</f>
        <v>10</v>
      </c>
      <c r="H8" s="22">
        <f t="shared" ref="H8:H13" si="2">C8*E8*D8</f>
        <v>500</v>
      </c>
      <c r="I8" s="23">
        <f t="shared" ref="I8:I13" si="3">G8*$I$5</f>
        <v>500</v>
      </c>
      <c r="J8" s="24">
        <v>0.02</v>
      </c>
      <c r="K8" s="22">
        <f t="shared" ref="K8:K13" si="4">(H8*J8)+I8</f>
        <v>510</v>
      </c>
      <c r="L8" s="25">
        <f t="shared" ref="L8:L13" si="5">(C8*D8*E8)-K8</f>
        <v>-10</v>
      </c>
      <c r="M8" s="26">
        <f t="shared" ref="M8:M13" si="6">C8*$N$5</f>
        <v>10</v>
      </c>
      <c r="N8" s="26" t="str">
        <f t="shared" ref="N8:N13" si="7">IF(L8 &gt;= (C8 * $N$5), "Success", IF(L8 = 0, "-", "Failed"))
</f>
        <v>Failed</v>
      </c>
      <c r="O8" s="26">
        <f t="shared" ref="O8:O13" si="8">(C8*E8*(1-J8))-(G8*$I$5)</f>
        <v>9300</v>
      </c>
    </row>
    <row r="9" ht="14.25" customHeight="1">
      <c r="B9" s="16" t="s">
        <v>25</v>
      </c>
      <c r="C9" s="17">
        <v>25000.0</v>
      </c>
      <c r="D9" s="18">
        <v>0.035</v>
      </c>
      <c r="E9" s="19">
        <v>1.0</v>
      </c>
      <c r="F9" s="20">
        <v>15.0</v>
      </c>
      <c r="G9" s="21">
        <f t="shared" si="1"/>
        <v>15</v>
      </c>
      <c r="H9" s="22">
        <f t="shared" si="2"/>
        <v>875</v>
      </c>
      <c r="I9" s="23">
        <f t="shared" si="3"/>
        <v>750</v>
      </c>
      <c r="J9" s="24">
        <v>0.02</v>
      </c>
      <c r="K9" s="22">
        <f t="shared" si="4"/>
        <v>767.5</v>
      </c>
      <c r="L9" s="25">
        <f t="shared" si="5"/>
        <v>107.5</v>
      </c>
      <c r="M9" s="26">
        <f t="shared" si="6"/>
        <v>25</v>
      </c>
      <c r="N9" s="26" t="str">
        <f t="shared" si="7"/>
        <v>Success</v>
      </c>
      <c r="O9" s="26">
        <f t="shared" si="8"/>
        <v>23750</v>
      </c>
    </row>
    <row r="10" ht="14.25" customHeight="1">
      <c r="B10" s="16" t="s">
        <v>26</v>
      </c>
      <c r="C10" s="17">
        <v>50000.0</v>
      </c>
      <c r="D10" s="18">
        <v>0.025</v>
      </c>
      <c r="E10" s="19">
        <v>1.0</v>
      </c>
      <c r="F10" s="20">
        <v>20.0</v>
      </c>
      <c r="G10" s="21">
        <f t="shared" si="1"/>
        <v>20</v>
      </c>
      <c r="H10" s="22">
        <f t="shared" si="2"/>
        <v>1250</v>
      </c>
      <c r="I10" s="23">
        <f t="shared" si="3"/>
        <v>1000</v>
      </c>
      <c r="J10" s="24">
        <v>0.03</v>
      </c>
      <c r="K10" s="22">
        <f t="shared" si="4"/>
        <v>1037.5</v>
      </c>
      <c r="L10" s="25">
        <f t="shared" si="5"/>
        <v>212.5</v>
      </c>
      <c r="M10" s="26">
        <f t="shared" si="6"/>
        <v>50</v>
      </c>
      <c r="N10" s="26" t="str">
        <f t="shared" si="7"/>
        <v>Success</v>
      </c>
      <c r="O10" s="26">
        <f t="shared" si="8"/>
        <v>47500</v>
      </c>
    </row>
    <row r="11" ht="14.25" customHeight="1">
      <c r="B11" s="16" t="s">
        <v>27</v>
      </c>
      <c r="C11" s="17">
        <v>100000.0</v>
      </c>
      <c r="D11" s="18">
        <v>0.02</v>
      </c>
      <c r="E11" s="19">
        <v>14.2</v>
      </c>
      <c r="F11" s="20">
        <v>25.0</v>
      </c>
      <c r="G11" s="21">
        <f t="shared" si="1"/>
        <v>355</v>
      </c>
      <c r="H11" s="22">
        <f t="shared" si="2"/>
        <v>28400</v>
      </c>
      <c r="I11" s="23">
        <f t="shared" si="3"/>
        <v>17750</v>
      </c>
      <c r="J11" s="24">
        <v>0.03</v>
      </c>
      <c r="K11" s="22">
        <f t="shared" si="4"/>
        <v>18602</v>
      </c>
      <c r="L11" s="25">
        <f t="shared" si="5"/>
        <v>9798</v>
      </c>
      <c r="M11" s="26">
        <f t="shared" si="6"/>
        <v>100</v>
      </c>
      <c r="N11" s="26" t="str">
        <f t="shared" si="7"/>
        <v>Success</v>
      </c>
      <c r="O11" s="26">
        <f t="shared" si="8"/>
        <v>1359650</v>
      </c>
    </row>
    <row r="12" ht="14.25" customHeight="1">
      <c r="B12" s="27" t="s">
        <v>28</v>
      </c>
      <c r="C12" s="28">
        <v>250000.0</v>
      </c>
      <c r="D12" s="29">
        <v>0.005</v>
      </c>
      <c r="E12" s="19">
        <v>1.0</v>
      </c>
      <c r="F12" s="30">
        <v>30.0</v>
      </c>
      <c r="G12" s="31">
        <f t="shared" si="1"/>
        <v>30</v>
      </c>
      <c r="H12" s="32">
        <f t="shared" si="2"/>
        <v>1250</v>
      </c>
      <c r="I12" s="33">
        <f t="shared" si="3"/>
        <v>1500</v>
      </c>
      <c r="J12" s="34">
        <v>0.04</v>
      </c>
      <c r="K12" s="22">
        <f t="shared" si="4"/>
        <v>1550</v>
      </c>
      <c r="L12" s="25">
        <f t="shared" si="5"/>
        <v>-300</v>
      </c>
      <c r="M12" s="26">
        <f t="shared" si="6"/>
        <v>250</v>
      </c>
      <c r="N12" s="26" t="str">
        <f t="shared" si="7"/>
        <v>Failed</v>
      </c>
      <c r="O12" s="26">
        <f t="shared" si="8"/>
        <v>238500</v>
      </c>
    </row>
    <row r="13" ht="14.25" customHeight="1">
      <c r="B13" s="35" t="s">
        <v>29</v>
      </c>
      <c r="C13" s="36">
        <v>250000.0</v>
      </c>
      <c r="D13" s="37">
        <v>0.01</v>
      </c>
      <c r="E13" s="19">
        <v>1.0</v>
      </c>
      <c r="F13" s="38">
        <v>50.0</v>
      </c>
      <c r="G13" s="39">
        <f t="shared" si="1"/>
        <v>50</v>
      </c>
      <c r="H13" s="40">
        <f t="shared" si="2"/>
        <v>2500</v>
      </c>
      <c r="I13" s="41">
        <f t="shared" si="3"/>
        <v>2500</v>
      </c>
      <c r="J13" s="42">
        <v>0.05</v>
      </c>
      <c r="K13" s="22">
        <f t="shared" si="4"/>
        <v>2625</v>
      </c>
      <c r="L13" s="25">
        <f t="shared" si="5"/>
        <v>-125</v>
      </c>
      <c r="M13" s="26">
        <f t="shared" si="6"/>
        <v>250</v>
      </c>
      <c r="N13" s="26" t="str">
        <f t="shared" si="7"/>
        <v>Failed</v>
      </c>
      <c r="O13" s="26">
        <f t="shared" si="8"/>
        <v>235000</v>
      </c>
    </row>
    <row r="14" ht="23.25" customHeight="1">
      <c r="B14" s="43" t="s">
        <v>30</v>
      </c>
      <c r="C14" s="43"/>
      <c r="D14" s="44"/>
      <c r="E14" s="45">
        <f>SUM(E8:E13)</f>
        <v>19.2</v>
      </c>
      <c r="F14" s="44"/>
      <c r="G14" s="45">
        <f t="shared" ref="G14:I14" si="9">SUM(G8:G13)</f>
        <v>480</v>
      </c>
      <c r="H14" s="46">
        <f t="shared" si="9"/>
        <v>34775</v>
      </c>
      <c r="I14" s="47">
        <f t="shared" si="9"/>
        <v>24000</v>
      </c>
      <c r="J14" s="44"/>
      <c r="K14" s="46">
        <f t="shared" ref="K14:L14" si="10">SUM(K8:K13)</f>
        <v>25092</v>
      </c>
      <c r="L14" s="46">
        <f t="shared" si="10"/>
        <v>9683</v>
      </c>
      <c r="M14" s="48"/>
      <c r="N14" s="48"/>
      <c r="O14" s="48">
        <f>SUM(O8:O13)</f>
        <v>1913700</v>
      </c>
    </row>
    <row r="15" ht="14.25" customHeight="1"/>
    <row r="16" ht="14.25" customHeight="1"/>
    <row r="17" ht="14.25" customHeight="1">
      <c r="B17" s="49" t="s">
        <v>31</v>
      </c>
      <c r="C17" s="50"/>
    </row>
    <row r="18" ht="14.25" customHeight="1">
      <c r="B18" s="51" t="s">
        <v>32</v>
      </c>
      <c r="C18" s="52"/>
      <c r="D18" s="53">
        <f>E14</f>
        <v>19.2</v>
      </c>
      <c r="E18" s="52"/>
    </row>
    <row r="19" ht="14.25" customHeight="1">
      <c r="B19" s="51" t="s">
        <v>33</v>
      </c>
      <c r="C19" s="52"/>
      <c r="D19" s="53">
        <f>G14</f>
        <v>480</v>
      </c>
      <c r="E19" s="52"/>
    </row>
    <row r="20" ht="14.25" customHeight="1">
      <c r="B20" s="54" t="s">
        <v>34</v>
      </c>
      <c r="C20" s="52"/>
      <c r="D20" s="55">
        <f>L14</f>
        <v>9683</v>
      </c>
      <c r="E20" s="52"/>
    </row>
    <row r="21" ht="14.25" customHeight="1"/>
    <row r="22" ht="14.25" customHeight="1">
      <c r="B22" s="56"/>
      <c r="C22" s="57"/>
      <c r="D22" s="57"/>
      <c r="E22" s="57"/>
      <c r="F22" s="57"/>
    </row>
    <row r="23" ht="14.25" customHeight="1">
      <c r="B23" s="58"/>
    </row>
    <row r="24" ht="14.25" customHeight="1">
      <c r="B24" s="58"/>
    </row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mergeCells count="10">
    <mergeCell ref="B19:C19"/>
    <mergeCell ref="B20:C20"/>
    <mergeCell ref="D20:E20"/>
    <mergeCell ref="B2:M2"/>
    <mergeCell ref="H3:J3"/>
    <mergeCell ref="B6:D6"/>
    <mergeCell ref="B17:C17"/>
    <mergeCell ref="B18:C18"/>
    <mergeCell ref="D18:E18"/>
    <mergeCell ref="D19:E19"/>
  </mergeCells>
  <printOptions/>
  <pageMargins bottom="0.75" footer="0.0" header="0.0" left="0.25" right="0.25" top="0.75"/>
  <pageSetup scale="7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60" t="str">
        <f>ModelSheet=Grants with Variable EV!A:Z</f>
        <v>#ERROR!</v>
      </c>
      <c r="B1" s="60" t="str">
        <f>ModelSheet=Grants with Equal Chance!A:Z</f>
        <v>#ERROR!</v>
      </c>
      <c r="C1" s="60" t="str">
        <f>ModelSheet=Grants Target Amount - No Hours!A:Z</f>
        <v>#ERROR!</v>
      </c>
    </row>
    <row r="2">
      <c r="A2" s="60" t="str">
        <f t="shared" ref="A2:C2" si="1">OpenSolver_AdjNum=1</f>
        <v>#NAME?</v>
      </c>
      <c r="B2" s="60" t="str">
        <f t="shared" si="1"/>
        <v>#NAME?</v>
      </c>
      <c r="C2" s="60" t="str">
        <f t="shared" si="1"/>
        <v>#NAME?</v>
      </c>
    </row>
    <row r="3">
      <c r="A3" s="60" t="str">
        <f t="shared" ref="A3:C3" si="2">OpenSolver_ChosenSolver=Google</f>
        <v>#NAME?</v>
      </c>
      <c r="B3" s="60" t="str">
        <f t="shared" si="2"/>
        <v>#NAME?</v>
      </c>
      <c r="C3" s="60" t="str">
        <f t="shared" si="2"/>
        <v>#NAME?</v>
      </c>
    </row>
    <row r="4">
      <c r="A4" s="60" t="str">
        <f t="shared" ref="A4:C4" si="3">OpenSolver_FastBuild=0</f>
        <v>#NAME?</v>
      </c>
      <c r="B4" s="60" t="str">
        <f t="shared" si="3"/>
        <v>#NAME?</v>
      </c>
      <c r="C4" s="60" t="str">
        <f t="shared" si="3"/>
        <v>#NAME?</v>
      </c>
    </row>
    <row r="5">
      <c r="A5" s="60" t="str">
        <f t="shared" ref="A5:C5" si="4">OpenSolver_LinearityCheck=1</f>
        <v>#NAME?</v>
      </c>
      <c r="B5" s="60" t="str">
        <f t="shared" si="4"/>
        <v>#NAME?</v>
      </c>
      <c r="C5" s="60" t="str">
        <f t="shared" si="4"/>
        <v>#NAME?</v>
      </c>
    </row>
    <row r="6">
      <c r="A6" s="60" t="str">
        <f>solver_adj=Grants with Variable EV!E8:E13</f>
        <v>#ERROR!</v>
      </c>
      <c r="B6" s="60" t="str">
        <f>solver_adj=Grants with Equal Chance!E8:E13</f>
        <v>#ERROR!</v>
      </c>
      <c r="C6" s="60" t="str">
        <f>solver_adj=Grants Target Amount - No Hours!E8:E13</f>
        <v>#ERROR!</v>
      </c>
    </row>
    <row r="7">
      <c r="A7" s="60" t="str">
        <f>solver_lhs1=Grants with Variable EV!E8:E13</f>
        <v>#ERROR!</v>
      </c>
      <c r="B7" s="60" t="str">
        <f>solver_lhs1=Grants with Equal Chance!E8:E13</f>
        <v>#ERROR!</v>
      </c>
      <c r="C7" s="60" t="str">
        <f>solver_lhs1=Grants Target Amount - No Hours!E8:E13</f>
        <v>#ERROR!</v>
      </c>
    </row>
    <row r="8">
      <c r="A8" s="60" t="str">
        <f>solver_lhs2=Grants with Variable EV!G14</f>
        <v>#ERROR!</v>
      </c>
      <c r="B8" s="60" t="str">
        <f>solver_lhs2=Grants with Equal Chance!G14</f>
        <v>#ERROR!</v>
      </c>
      <c r="C8" s="60" t="str">
        <f>solver_neg=1</f>
        <v>#NAME?</v>
      </c>
    </row>
    <row r="9">
      <c r="A9" s="60" t="str">
        <f t="shared" ref="A9:B9" si="5">solver_neg=1</f>
        <v>#NAME?</v>
      </c>
      <c r="B9" s="60" t="str">
        <f t="shared" si="5"/>
        <v>#NAME?</v>
      </c>
      <c r="C9" s="60" t="str">
        <f>solver_num=1</f>
        <v>#NAME?</v>
      </c>
    </row>
    <row r="10">
      <c r="A10" s="60" t="str">
        <f t="shared" ref="A10:B10" si="6">solver_num=2</f>
        <v>#NAME?</v>
      </c>
      <c r="B10" s="60" t="str">
        <f t="shared" si="6"/>
        <v>#NAME?</v>
      </c>
      <c r="C10" s="60" t="str">
        <f>solver_opt=Grants Target Amount - No Hours!L14</f>
        <v>#ERROR!</v>
      </c>
    </row>
    <row r="11">
      <c r="A11" s="60" t="str">
        <f>solver_opt=Grants with Variable EV!L14</f>
        <v>#ERROR!</v>
      </c>
      <c r="B11" s="60" t="str">
        <f>solver_opt=Grants with Equal Chance!L14</f>
        <v>#ERROR!</v>
      </c>
      <c r="C11" s="60" t="str">
        <f>solver_rel1=3</f>
        <v>#NAME?</v>
      </c>
    </row>
    <row r="12">
      <c r="A12" s="60" t="str">
        <f t="shared" ref="A12:B12" si="7">solver_rel1=3</f>
        <v>#NAME?</v>
      </c>
      <c r="B12" s="60" t="str">
        <f t="shared" si="7"/>
        <v>#NAME?</v>
      </c>
      <c r="C12" s="60" t="str">
        <f>solver_rhs1=Grants Target Amount - No Hours!H5</f>
        <v>#ERROR!</v>
      </c>
    </row>
    <row r="13">
      <c r="A13" s="60" t="str">
        <f t="shared" ref="A13:B13" si="8">solver_rel2=1</f>
        <v>#NAME?</v>
      </c>
      <c r="B13" s="60" t="str">
        <f t="shared" si="8"/>
        <v>#NAME?</v>
      </c>
      <c r="C13" s="60" t="str">
        <f>solver_sho=1</f>
        <v>#NAME?</v>
      </c>
    </row>
    <row r="14">
      <c r="A14" s="60" t="str">
        <f>solver_rhs1=Grants with Variable EV!H5</f>
        <v>#ERROR!</v>
      </c>
      <c r="B14" s="60" t="str">
        <f>solver_rhs1=Grants with Equal Chance!H5</f>
        <v>#ERROR!</v>
      </c>
      <c r="C14" s="60" t="str">
        <f>solver_typ=3</f>
        <v>#NAME?</v>
      </c>
    </row>
    <row r="15">
      <c r="A15" s="60" t="str">
        <f>solver_rhs2=Grants with Variable EV!M5</f>
        <v>#ERROR!</v>
      </c>
      <c r="B15" s="60" t="str">
        <f>solver_rhs2=Grants with Equal Chance!M5</f>
        <v>#ERROR!</v>
      </c>
      <c r="C15" s="60" t="str">
        <f>solver_val=500000</f>
        <v>#NAME?</v>
      </c>
    </row>
    <row r="16">
      <c r="A16" s="60" t="str">
        <f t="shared" ref="A16:B16" si="9">solver_sho=1</f>
        <v>#NAME?</v>
      </c>
      <c r="B16" s="60" t="str">
        <f t="shared" si="9"/>
        <v>#NAME?</v>
      </c>
    </row>
    <row r="17">
      <c r="A17" s="60" t="str">
        <f t="shared" ref="A17:B17" si="10">solver_typ=1</f>
        <v>#NAME?</v>
      </c>
      <c r="B17" s="60" t="str">
        <f t="shared" si="10"/>
        <v>#NAME?</v>
      </c>
    </row>
    <row r="18">
      <c r="A18" s="60" t="str">
        <f>solver_val=500000</f>
        <v>#NAME?</v>
      </c>
      <c r="B18" s="60" t="str">
        <f>solver_val=0</f>
        <v>#NAME?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9.43"/>
    <col customWidth="1" min="3" max="3" width="15.57"/>
    <col customWidth="1" min="4" max="4" width="11.57"/>
    <col customWidth="1" min="5" max="5" width="14.57"/>
    <col customWidth="1" min="6" max="6" width="14.0"/>
    <col customWidth="1" min="7" max="7" width="9.29"/>
    <col customWidth="1" min="8" max="8" width="10.86"/>
    <col customWidth="1" min="9" max="10" width="13.57"/>
    <col customWidth="1" min="11" max="11" width="14.0"/>
    <col customWidth="1" min="12" max="12" width="16.86"/>
    <col customWidth="1" min="13" max="13" width="14.71"/>
    <col customWidth="1" min="14" max="14" width="14.14"/>
    <col customWidth="1" min="15" max="26" width="8.71"/>
  </cols>
  <sheetData>
    <row r="1" ht="14.25" customHeight="1"/>
    <row r="2" ht="14.25" customHeight="1">
      <c r="B2" s="1" t="s">
        <v>0</v>
      </c>
    </row>
    <row r="3" ht="31.5" customHeight="1">
      <c r="H3" s="2" t="s">
        <v>1</v>
      </c>
    </row>
    <row r="4" ht="14.25" customHeight="1">
      <c r="H4" s="3" t="s">
        <v>2</v>
      </c>
      <c r="I4" s="3" t="s">
        <v>3</v>
      </c>
      <c r="J4" s="3" t="s">
        <v>4</v>
      </c>
      <c r="K4" s="4" t="s">
        <v>5</v>
      </c>
      <c r="L4" s="4" t="s">
        <v>6</v>
      </c>
      <c r="M4" s="4" t="s">
        <v>7</v>
      </c>
    </row>
    <row r="5" ht="29.25" customHeight="1">
      <c r="H5" s="6">
        <v>1.0</v>
      </c>
      <c r="I5" s="7">
        <v>20.0</v>
      </c>
      <c r="J5" s="8">
        <v>500000.0</v>
      </c>
      <c r="K5" s="61">
        <v>160.0</v>
      </c>
      <c r="L5" s="61">
        <v>3.0</v>
      </c>
      <c r="M5" s="6">
        <f>K5*L5</f>
        <v>480</v>
      </c>
    </row>
    <row r="6" ht="34.5" customHeight="1">
      <c r="B6" s="2" t="s">
        <v>9</v>
      </c>
    </row>
    <row r="7" ht="34.5" customHeight="1">
      <c r="B7" s="11" t="s">
        <v>10</v>
      </c>
      <c r="C7" s="12" t="s">
        <v>11</v>
      </c>
      <c r="D7" s="13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19</v>
      </c>
      <c r="L7" s="13" t="s">
        <v>20</v>
      </c>
      <c r="M7" s="15" t="s">
        <v>23</v>
      </c>
    </row>
    <row r="8" ht="14.25" customHeight="1">
      <c r="B8" s="16" t="s">
        <v>24</v>
      </c>
      <c r="C8" s="17">
        <v>10000.0</v>
      </c>
      <c r="D8" s="24">
        <v>0.15</v>
      </c>
      <c r="E8" s="19">
        <v>1.0</v>
      </c>
      <c r="F8" s="20">
        <v>10.0</v>
      </c>
      <c r="G8" s="20">
        <f t="shared" ref="G8:G13" si="1">F8*E8</f>
        <v>10</v>
      </c>
      <c r="H8" s="22">
        <f t="shared" ref="H8:H13" si="2">C8*E8*D8</f>
        <v>1500</v>
      </c>
      <c r="I8" s="23">
        <f t="shared" ref="I8:I13" si="3">G8*$I$5</f>
        <v>200</v>
      </c>
      <c r="J8" s="24">
        <v>0.02</v>
      </c>
      <c r="K8" s="22">
        <f t="shared" ref="K8:K13" si="4">(H8*J8)+I8</f>
        <v>230</v>
      </c>
      <c r="L8" s="25">
        <f t="shared" ref="L8:L13" si="5">(C8*D8*E8)-K8</f>
        <v>1270</v>
      </c>
      <c r="M8" s="26">
        <f t="shared" ref="M8:M13" si="6">(C8*E8*(1-J8))-(G8*$I$5)</f>
        <v>9600</v>
      </c>
    </row>
    <row r="9" ht="14.25" customHeight="1">
      <c r="B9" s="16" t="s">
        <v>25</v>
      </c>
      <c r="C9" s="17">
        <v>25000.0</v>
      </c>
      <c r="D9" s="24">
        <v>0.15</v>
      </c>
      <c r="E9" s="19">
        <v>1.0</v>
      </c>
      <c r="F9" s="20">
        <v>15.0</v>
      </c>
      <c r="G9" s="20">
        <f t="shared" si="1"/>
        <v>15</v>
      </c>
      <c r="H9" s="22">
        <f t="shared" si="2"/>
        <v>3750</v>
      </c>
      <c r="I9" s="23">
        <f t="shared" si="3"/>
        <v>300</v>
      </c>
      <c r="J9" s="24">
        <v>0.02</v>
      </c>
      <c r="K9" s="22">
        <f t="shared" si="4"/>
        <v>375</v>
      </c>
      <c r="L9" s="25">
        <f t="shared" si="5"/>
        <v>3375</v>
      </c>
      <c r="M9" s="26">
        <f t="shared" si="6"/>
        <v>24200</v>
      </c>
    </row>
    <row r="10" ht="14.25" customHeight="1">
      <c r="B10" s="16" t="s">
        <v>26</v>
      </c>
      <c r="C10" s="17">
        <v>50000.0</v>
      </c>
      <c r="D10" s="24">
        <v>0.15</v>
      </c>
      <c r="E10" s="19">
        <v>1.0</v>
      </c>
      <c r="F10" s="20">
        <v>20.0</v>
      </c>
      <c r="G10" s="20">
        <f t="shared" si="1"/>
        <v>20</v>
      </c>
      <c r="H10" s="22">
        <f t="shared" si="2"/>
        <v>7500</v>
      </c>
      <c r="I10" s="23">
        <f t="shared" si="3"/>
        <v>400</v>
      </c>
      <c r="J10" s="24">
        <v>0.03</v>
      </c>
      <c r="K10" s="22">
        <f t="shared" si="4"/>
        <v>625</v>
      </c>
      <c r="L10" s="25">
        <f t="shared" si="5"/>
        <v>6875</v>
      </c>
      <c r="M10" s="26">
        <f t="shared" si="6"/>
        <v>48100</v>
      </c>
    </row>
    <row r="11" ht="14.25" customHeight="1">
      <c r="B11" s="16" t="s">
        <v>27</v>
      </c>
      <c r="C11" s="17">
        <v>100000.0</v>
      </c>
      <c r="D11" s="24">
        <v>0.15</v>
      </c>
      <c r="E11" s="19">
        <v>1.0</v>
      </c>
      <c r="F11" s="20">
        <v>25.0</v>
      </c>
      <c r="G11" s="20">
        <f t="shared" si="1"/>
        <v>25</v>
      </c>
      <c r="H11" s="22">
        <f t="shared" si="2"/>
        <v>15000</v>
      </c>
      <c r="I11" s="23">
        <f t="shared" si="3"/>
        <v>500</v>
      </c>
      <c r="J11" s="24">
        <v>0.03</v>
      </c>
      <c r="K11" s="22">
        <f t="shared" si="4"/>
        <v>950</v>
      </c>
      <c r="L11" s="25">
        <f t="shared" si="5"/>
        <v>14050</v>
      </c>
      <c r="M11" s="26">
        <f t="shared" si="6"/>
        <v>96500</v>
      </c>
    </row>
    <row r="12" ht="14.25" customHeight="1">
      <c r="B12" s="27" t="s">
        <v>28</v>
      </c>
      <c r="C12" s="28">
        <v>250000.0</v>
      </c>
      <c r="D12" s="24">
        <v>0.15</v>
      </c>
      <c r="E12" s="19">
        <v>12.0</v>
      </c>
      <c r="F12" s="30">
        <v>30.0</v>
      </c>
      <c r="G12" s="30">
        <f t="shared" si="1"/>
        <v>360</v>
      </c>
      <c r="H12" s="32">
        <f t="shared" si="2"/>
        <v>450000</v>
      </c>
      <c r="I12" s="33">
        <f t="shared" si="3"/>
        <v>7200</v>
      </c>
      <c r="J12" s="34">
        <v>0.04</v>
      </c>
      <c r="K12" s="22">
        <f t="shared" si="4"/>
        <v>25200</v>
      </c>
      <c r="L12" s="25">
        <f t="shared" si="5"/>
        <v>424800</v>
      </c>
      <c r="M12" s="26">
        <f t="shared" si="6"/>
        <v>2872800</v>
      </c>
    </row>
    <row r="13" ht="14.25" customHeight="1">
      <c r="B13" s="35" t="s">
        <v>29</v>
      </c>
      <c r="C13" s="36">
        <v>250000.0</v>
      </c>
      <c r="D13" s="24">
        <v>0.15</v>
      </c>
      <c r="E13" s="19">
        <v>1.0</v>
      </c>
      <c r="F13" s="38">
        <v>50.0</v>
      </c>
      <c r="G13" s="38">
        <f t="shared" si="1"/>
        <v>50</v>
      </c>
      <c r="H13" s="40">
        <f t="shared" si="2"/>
        <v>37500</v>
      </c>
      <c r="I13" s="41">
        <f t="shared" si="3"/>
        <v>1000</v>
      </c>
      <c r="J13" s="42">
        <v>0.05</v>
      </c>
      <c r="K13" s="22">
        <f t="shared" si="4"/>
        <v>2875</v>
      </c>
      <c r="L13" s="25">
        <f t="shared" si="5"/>
        <v>34625</v>
      </c>
      <c r="M13" s="26">
        <f t="shared" si="6"/>
        <v>236500</v>
      </c>
    </row>
    <row r="14" ht="23.25" customHeight="1">
      <c r="B14" s="43" t="s">
        <v>30</v>
      </c>
      <c r="C14" s="43"/>
      <c r="D14" s="44"/>
      <c r="E14" s="45">
        <f>SUM(E8:E13)</f>
        <v>17</v>
      </c>
      <c r="F14" s="44"/>
      <c r="G14" s="44">
        <f t="shared" ref="G14:I14" si="7">SUM(G8:G13)</f>
        <v>480</v>
      </c>
      <c r="H14" s="46">
        <f t="shared" si="7"/>
        <v>515250</v>
      </c>
      <c r="I14" s="47">
        <f t="shared" si="7"/>
        <v>9600</v>
      </c>
      <c r="J14" s="44"/>
      <c r="K14" s="46">
        <f t="shared" ref="K14:M14" si="8">SUM(K8:K13)</f>
        <v>30255</v>
      </c>
      <c r="L14" s="46">
        <f t="shared" si="8"/>
        <v>484995</v>
      </c>
      <c r="M14" s="48">
        <f t="shared" si="8"/>
        <v>3287700</v>
      </c>
    </row>
    <row r="15" ht="14.25" customHeight="1"/>
    <row r="16" ht="14.25" customHeight="1"/>
    <row r="17" ht="14.25" customHeight="1">
      <c r="B17" s="49" t="s">
        <v>31</v>
      </c>
      <c r="C17" s="50"/>
    </row>
    <row r="18" ht="14.25" customHeight="1">
      <c r="B18" s="51" t="s">
        <v>32</v>
      </c>
      <c r="C18" s="52"/>
      <c r="D18" s="53">
        <f>E14</f>
        <v>17</v>
      </c>
      <c r="E18" s="52"/>
    </row>
    <row r="19" ht="14.25" customHeight="1">
      <c r="B19" s="51" t="s">
        <v>33</v>
      </c>
      <c r="C19" s="52"/>
      <c r="D19" s="53">
        <f>G14</f>
        <v>480</v>
      </c>
      <c r="E19" s="52"/>
    </row>
    <row r="20" ht="14.25" customHeight="1">
      <c r="B20" s="54" t="s">
        <v>34</v>
      </c>
      <c r="C20" s="52"/>
      <c r="D20" s="55">
        <f>L14</f>
        <v>484995</v>
      </c>
      <c r="E20" s="52"/>
    </row>
    <row r="21" ht="14.25" customHeight="1"/>
    <row r="22" ht="14.25" customHeight="1">
      <c r="B22" s="56" t="s">
        <v>35</v>
      </c>
      <c r="C22" s="57"/>
      <c r="D22" s="57"/>
      <c r="E22" s="57"/>
      <c r="F22" s="57"/>
    </row>
    <row r="23" ht="14.25" customHeight="1">
      <c r="B23" s="58" t="s">
        <v>36</v>
      </c>
    </row>
    <row r="24" ht="14.25" customHeight="1">
      <c r="B24" s="58" t="s">
        <v>37</v>
      </c>
    </row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B19:C19"/>
    <mergeCell ref="B20:C20"/>
    <mergeCell ref="D20:E20"/>
    <mergeCell ref="B2:M2"/>
    <mergeCell ref="H3:J3"/>
    <mergeCell ref="B6:D6"/>
    <mergeCell ref="B17:C17"/>
    <mergeCell ref="B18:C18"/>
    <mergeCell ref="D18:E18"/>
    <mergeCell ref="D19:E19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D7E6B"/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9.43"/>
    <col customWidth="1" min="3" max="3" width="15.57"/>
    <col customWidth="1" min="4" max="4" width="11.57"/>
    <col customWidth="1" min="5" max="5" width="14.57"/>
    <col customWidth="1" min="6" max="6" width="14.0"/>
    <col customWidth="1" min="7" max="7" width="9.29"/>
    <col customWidth="1" min="8" max="8" width="10.86"/>
    <col customWidth="1" min="9" max="10" width="13.57"/>
    <col customWidth="1" min="11" max="11" width="14.0"/>
    <col customWidth="1" min="12" max="12" width="16.86"/>
    <col customWidth="1" min="13" max="13" width="14.71"/>
    <col customWidth="1" min="14" max="14" width="14.14"/>
    <col customWidth="1" min="15" max="26" width="8.71"/>
  </cols>
  <sheetData>
    <row r="1" ht="14.25" customHeight="1"/>
    <row r="2" ht="14.25" customHeight="1">
      <c r="B2" s="1" t="s">
        <v>0</v>
      </c>
    </row>
    <row r="3" ht="31.5" customHeight="1">
      <c r="H3" s="2" t="s">
        <v>1</v>
      </c>
    </row>
    <row r="4" ht="14.25" customHeight="1">
      <c r="H4" s="3" t="s">
        <v>2</v>
      </c>
      <c r="I4" s="3" t="s">
        <v>3</v>
      </c>
      <c r="J4" s="3" t="s">
        <v>4</v>
      </c>
      <c r="K4" s="4" t="s">
        <v>5</v>
      </c>
      <c r="L4" s="4" t="s">
        <v>6</v>
      </c>
      <c r="M4" s="4" t="s">
        <v>7</v>
      </c>
    </row>
    <row r="5" ht="29.25" customHeight="1">
      <c r="H5" s="6">
        <v>1.0</v>
      </c>
      <c r="I5" s="7">
        <v>20.0</v>
      </c>
      <c r="J5" s="8">
        <v>500000.0</v>
      </c>
      <c r="K5" s="61">
        <v>160.0</v>
      </c>
      <c r="L5" s="61">
        <v>3.0</v>
      </c>
      <c r="M5" s="6">
        <f>K5*L5</f>
        <v>480</v>
      </c>
    </row>
    <row r="6" ht="34.5" customHeight="1">
      <c r="B6" s="2" t="s">
        <v>9</v>
      </c>
    </row>
    <row r="7" ht="34.5" customHeight="1">
      <c r="B7" s="11" t="s">
        <v>10</v>
      </c>
      <c r="C7" s="12" t="s">
        <v>11</v>
      </c>
      <c r="D7" s="13" t="s">
        <v>12</v>
      </c>
      <c r="E7" s="12" t="s">
        <v>13</v>
      </c>
      <c r="F7" s="13" t="s">
        <v>38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19</v>
      </c>
      <c r="L7" s="13" t="s">
        <v>20</v>
      </c>
      <c r="M7" s="15" t="s">
        <v>23</v>
      </c>
    </row>
    <row r="8" ht="14.25" customHeight="1">
      <c r="B8" s="16" t="s">
        <v>24</v>
      </c>
      <c r="C8" s="17">
        <v>10000.0</v>
      </c>
      <c r="D8" s="18">
        <v>0.05</v>
      </c>
      <c r="E8" s="19">
        <v>1707.6379310344828</v>
      </c>
      <c r="F8" s="20">
        <v>10.0</v>
      </c>
      <c r="G8" s="21">
        <f t="shared" ref="G8:G13" si="1">F8*E8</f>
        <v>17076.37931</v>
      </c>
      <c r="H8" s="22">
        <f t="shared" ref="H8:H13" si="2">C8*E8*D8</f>
        <v>853818.9655</v>
      </c>
      <c r="I8" s="23">
        <f t="shared" ref="I8:I13" si="3">G8*$I$5</f>
        <v>341527.5862</v>
      </c>
      <c r="J8" s="24">
        <v>0.02</v>
      </c>
      <c r="K8" s="22">
        <f t="shared" ref="K8:K13" si="4">(H8*J8)+I8</f>
        <v>358603.9655</v>
      </c>
      <c r="L8" s="25">
        <f t="shared" ref="L8:L13" si="5">(C8*D8*E8)-K8</f>
        <v>495215</v>
      </c>
      <c r="M8" s="26">
        <f t="shared" ref="M8:M13" si="6">(C8*E8*(1-J8))-(G8*$I$5)</f>
        <v>16393324.14</v>
      </c>
    </row>
    <row r="9" ht="14.25" customHeight="1">
      <c r="B9" s="16" t="s">
        <v>25</v>
      </c>
      <c r="C9" s="17">
        <v>25000.0</v>
      </c>
      <c r="D9" s="18">
        <v>0.035</v>
      </c>
      <c r="E9" s="19">
        <v>1.0</v>
      </c>
      <c r="F9" s="20">
        <v>15.0</v>
      </c>
      <c r="G9" s="20">
        <f t="shared" si="1"/>
        <v>15</v>
      </c>
      <c r="H9" s="22">
        <f t="shared" si="2"/>
        <v>875</v>
      </c>
      <c r="I9" s="23">
        <f t="shared" si="3"/>
        <v>300</v>
      </c>
      <c r="J9" s="24">
        <v>0.02</v>
      </c>
      <c r="K9" s="22">
        <f t="shared" si="4"/>
        <v>317.5</v>
      </c>
      <c r="L9" s="25">
        <f t="shared" si="5"/>
        <v>557.5</v>
      </c>
      <c r="M9" s="26">
        <f t="shared" si="6"/>
        <v>24200</v>
      </c>
    </row>
    <row r="10" ht="14.25" customHeight="1">
      <c r="B10" s="16" t="s">
        <v>26</v>
      </c>
      <c r="C10" s="17">
        <v>50000.0</v>
      </c>
      <c r="D10" s="18">
        <v>0.025</v>
      </c>
      <c r="E10" s="19">
        <v>1.0</v>
      </c>
      <c r="F10" s="20">
        <v>20.0</v>
      </c>
      <c r="G10" s="20">
        <f t="shared" si="1"/>
        <v>20</v>
      </c>
      <c r="H10" s="22">
        <f t="shared" si="2"/>
        <v>1250</v>
      </c>
      <c r="I10" s="23">
        <f t="shared" si="3"/>
        <v>400</v>
      </c>
      <c r="J10" s="24">
        <v>0.03</v>
      </c>
      <c r="K10" s="22">
        <f t="shared" si="4"/>
        <v>437.5</v>
      </c>
      <c r="L10" s="25">
        <f t="shared" si="5"/>
        <v>812.5</v>
      </c>
      <c r="M10" s="26">
        <f t="shared" si="6"/>
        <v>48100</v>
      </c>
    </row>
    <row r="11" ht="14.25" customHeight="1">
      <c r="B11" s="16" t="s">
        <v>27</v>
      </c>
      <c r="C11" s="17">
        <v>100000.0</v>
      </c>
      <c r="D11" s="18">
        <v>0.02</v>
      </c>
      <c r="E11" s="19">
        <v>1.0</v>
      </c>
      <c r="F11" s="20">
        <v>25.0</v>
      </c>
      <c r="G11" s="20">
        <f t="shared" si="1"/>
        <v>25</v>
      </c>
      <c r="H11" s="22">
        <f t="shared" si="2"/>
        <v>2000</v>
      </c>
      <c r="I11" s="23">
        <f t="shared" si="3"/>
        <v>500</v>
      </c>
      <c r="J11" s="24">
        <v>0.03</v>
      </c>
      <c r="K11" s="22">
        <f t="shared" si="4"/>
        <v>560</v>
      </c>
      <c r="L11" s="25">
        <f t="shared" si="5"/>
        <v>1440</v>
      </c>
      <c r="M11" s="26">
        <f t="shared" si="6"/>
        <v>96500</v>
      </c>
    </row>
    <row r="12" ht="14.25" customHeight="1">
      <c r="B12" s="27" t="s">
        <v>28</v>
      </c>
      <c r="C12" s="28">
        <v>250000.0</v>
      </c>
      <c r="D12" s="29">
        <v>0.005</v>
      </c>
      <c r="E12" s="19">
        <v>1.0</v>
      </c>
      <c r="F12" s="30">
        <v>30.0</v>
      </c>
      <c r="G12" s="30">
        <f t="shared" si="1"/>
        <v>30</v>
      </c>
      <c r="H12" s="32">
        <f t="shared" si="2"/>
        <v>1250</v>
      </c>
      <c r="I12" s="33">
        <f t="shared" si="3"/>
        <v>600</v>
      </c>
      <c r="J12" s="34">
        <v>0.04</v>
      </c>
      <c r="K12" s="22">
        <f t="shared" si="4"/>
        <v>650</v>
      </c>
      <c r="L12" s="25">
        <f t="shared" si="5"/>
        <v>600</v>
      </c>
      <c r="M12" s="26">
        <f t="shared" si="6"/>
        <v>239400</v>
      </c>
    </row>
    <row r="13" ht="14.25" customHeight="1">
      <c r="B13" s="35" t="s">
        <v>29</v>
      </c>
      <c r="C13" s="36">
        <v>250000.0</v>
      </c>
      <c r="D13" s="37">
        <v>0.01</v>
      </c>
      <c r="E13" s="19">
        <v>1.0</v>
      </c>
      <c r="F13" s="38">
        <v>50.0</v>
      </c>
      <c r="G13" s="38">
        <f t="shared" si="1"/>
        <v>50</v>
      </c>
      <c r="H13" s="40">
        <f t="shared" si="2"/>
        <v>2500</v>
      </c>
      <c r="I13" s="41">
        <f t="shared" si="3"/>
        <v>1000</v>
      </c>
      <c r="J13" s="42">
        <v>0.05</v>
      </c>
      <c r="K13" s="22">
        <f t="shared" si="4"/>
        <v>1125</v>
      </c>
      <c r="L13" s="25">
        <f t="shared" si="5"/>
        <v>1375</v>
      </c>
      <c r="M13" s="26">
        <f t="shared" si="6"/>
        <v>236500</v>
      </c>
    </row>
    <row r="14" ht="23.25" customHeight="1">
      <c r="B14" s="43" t="s">
        <v>30</v>
      </c>
      <c r="C14" s="43"/>
      <c r="D14" s="44"/>
      <c r="E14" s="45">
        <f>SUM(E8:E13)</f>
        <v>1712.637931</v>
      </c>
      <c r="F14" s="44"/>
      <c r="G14" s="62">
        <f t="shared" ref="G14:I14" si="7">SUM(G8:G13)</f>
        <v>17216.37931</v>
      </c>
      <c r="H14" s="46">
        <f t="shared" si="7"/>
        <v>861693.9655</v>
      </c>
      <c r="I14" s="47">
        <f t="shared" si="7"/>
        <v>344327.5862</v>
      </c>
      <c r="J14" s="44"/>
      <c r="K14" s="46">
        <f t="shared" ref="K14:M14" si="8">SUM(K8:K13)</f>
        <v>361693.9655</v>
      </c>
      <c r="L14" s="46">
        <f t="shared" si="8"/>
        <v>500000</v>
      </c>
      <c r="M14" s="48">
        <f t="shared" si="8"/>
        <v>17038024.14</v>
      </c>
    </row>
    <row r="15" ht="14.25" customHeight="1"/>
    <row r="16" ht="14.25" customHeight="1"/>
    <row r="17" ht="14.25" customHeight="1">
      <c r="B17" s="49" t="s">
        <v>31</v>
      </c>
      <c r="C17" s="50"/>
    </row>
    <row r="18" ht="14.25" customHeight="1">
      <c r="B18" s="51" t="s">
        <v>32</v>
      </c>
      <c r="C18" s="52"/>
      <c r="D18" s="53">
        <f>E14</f>
        <v>1712.637931</v>
      </c>
      <c r="E18" s="52"/>
    </row>
    <row r="19" ht="14.25" customHeight="1">
      <c r="B19" s="51" t="s">
        <v>33</v>
      </c>
      <c r="C19" s="52"/>
      <c r="D19" s="53">
        <f>G14</f>
        <v>17216.37931</v>
      </c>
      <c r="E19" s="52"/>
    </row>
    <row r="20" ht="14.25" customHeight="1">
      <c r="B20" s="54" t="s">
        <v>34</v>
      </c>
      <c r="C20" s="52"/>
      <c r="D20" s="55">
        <f>L14</f>
        <v>500000</v>
      </c>
      <c r="E20" s="52"/>
    </row>
    <row r="21" ht="14.25" customHeight="1"/>
    <row r="22" ht="14.25" customHeight="1">
      <c r="B22" s="56" t="s">
        <v>35</v>
      </c>
      <c r="C22" s="57"/>
      <c r="D22" s="57"/>
      <c r="E22" s="57"/>
      <c r="F22" s="57"/>
    </row>
    <row r="23" ht="14.25" customHeight="1">
      <c r="B23" s="58" t="s">
        <v>36</v>
      </c>
    </row>
    <row r="24" ht="14.25" customHeight="1">
      <c r="B24" s="58"/>
    </row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B19:C19"/>
    <mergeCell ref="B20:C20"/>
    <mergeCell ref="D20:E20"/>
    <mergeCell ref="B2:M2"/>
    <mergeCell ref="H3:J3"/>
    <mergeCell ref="B6:D6"/>
    <mergeCell ref="B17:C17"/>
    <mergeCell ref="B18:C18"/>
    <mergeCell ref="D18:E18"/>
    <mergeCell ref="D19:E19"/>
  </mergeCells>
  <printOptions/>
  <pageMargins bottom="0.75" footer="0.0" header="0.0" left="0.7" right="0.7" top="0.75"/>
  <pageSetup orientation="landscape"/>
  <drawing r:id="rId1"/>
</worksheet>
</file>